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an\Box\Default Folder\Spreadsheet projects\"/>
    </mc:Choice>
  </mc:AlternateContent>
  <xr:revisionPtr revIDLastSave="0" documentId="13_ncr:1_{C4BA6B73-FAB2-474B-91BE-7559B8D49A22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1" r:id="rId1"/>
  </sheets>
  <definedNames>
    <definedName name="inAnnually" hidden="1">Sheet1!$D$66:$H$66</definedName>
    <definedName name="inFortnightly" hidden="1">Sheet1!$D$63:$H$63</definedName>
    <definedName name="inFourweekly" hidden="1">Sheet1!$D$64:$H$64</definedName>
    <definedName name="inMonthly" hidden="1">Sheet1!$D$65:$H$65</definedName>
    <definedName name="inWeekly" hidden="1">Sheet1!$D$62:$H$62</definedName>
    <definedName name="LookupTable" hidden="1">OFFSET(Sheet1!$D$22,0,0,ROW(Sheet1!$D$44)-ROW(Sheet1!$D$22)+1,COUNTA(Sheet1!$A$22:$AZ$22))</definedName>
    <definedName name="outAnnually" hidden="1">Sheet1!$H$62:$H$66</definedName>
    <definedName name="outFortnightly" hidden="1">Sheet1!$E$62:$E$66</definedName>
    <definedName name="outFourweekly" hidden="1">Sheet1!$F$62:$F$66</definedName>
    <definedName name="outMonthly" hidden="1">Sheet1!$G$62:$G$66</definedName>
    <definedName name="outWeekly" hidden="1">Sheet1!$D$62:$D$66</definedName>
    <definedName name="ReducedUSCLogicalTests" hidden="1">OFFSET(Sheet1!#REF!,0,0,1,COUNTA(Sheet1!#REF!)-1)</definedName>
    <definedName name="YearsAvailable" hidden="1">OFFSET(Sheet1!$D$22,0,0,1,COUNTA(Sheet1!$A$22:$AA$22))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9" i="1" l="1"/>
  <c r="T40" i="1"/>
  <c r="T44" i="1"/>
  <c r="S39" i="1"/>
  <c r="S40" i="1"/>
  <c r="S44" i="1"/>
  <c r="R39" i="1"/>
  <c r="R40" i="1"/>
  <c r="R44" i="1"/>
  <c r="Q39" i="1"/>
  <c r="Q40" i="1"/>
  <c r="Q44" i="1"/>
  <c r="P44" i="1"/>
  <c r="P40" i="1"/>
  <c r="P39" i="1"/>
  <c r="O39" i="1" l="1"/>
  <c r="O40" i="1"/>
  <c r="O44" i="1"/>
  <c r="B4" i="1" l="1"/>
  <c r="N44" i="1"/>
  <c r="N40" i="1"/>
  <c r="N39" i="1"/>
  <c r="H57" i="1" l="1"/>
  <c r="C57" i="1"/>
  <c r="H55" i="1"/>
  <c r="H54" i="1"/>
  <c r="H53" i="1"/>
  <c r="I51" i="1"/>
  <c r="M44" i="1"/>
  <c r="M40" i="1"/>
  <c r="M39" i="1"/>
  <c r="H56" i="1" s="1"/>
  <c r="N57" i="1"/>
  <c r="N55" i="1"/>
  <c r="N56" i="1"/>
  <c r="N54" i="1"/>
  <c r="G57" i="1" l="1"/>
  <c r="D40" i="1"/>
  <c r="E40" i="1"/>
  <c r="F40" i="1"/>
  <c r="G40" i="1"/>
  <c r="H40" i="1"/>
  <c r="I40" i="1"/>
  <c r="J40" i="1"/>
  <c r="K40" i="1"/>
  <c r="L40" i="1"/>
  <c r="S55" i="1"/>
  <c r="J39" i="1"/>
  <c r="K39" i="1"/>
  <c r="L39" i="1"/>
  <c r="I39" i="1"/>
  <c r="H39" i="1"/>
  <c r="F38" i="1"/>
  <c r="G38" i="1"/>
  <c r="F39" i="1"/>
  <c r="G39" i="1"/>
  <c r="E38" i="1"/>
  <c r="E39" i="1"/>
  <c r="D39" i="1"/>
  <c r="D38" i="1"/>
  <c r="G44" i="1"/>
  <c r="H44" i="1"/>
  <c r="I44" i="1"/>
  <c r="J44" i="1"/>
  <c r="K44" i="1"/>
  <c r="L44" i="1"/>
  <c r="F44" i="1"/>
  <c r="C56" i="1" s="1"/>
  <c r="E44" i="1"/>
  <c r="D44" i="1"/>
  <c r="B10" i="1"/>
  <c r="B7" i="1"/>
  <c r="B6" i="1"/>
  <c r="G66" i="1"/>
  <c r="F66" i="1"/>
  <c r="E66" i="1"/>
  <c r="D66" i="1"/>
  <c r="F65" i="1"/>
  <c r="E65" i="1"/>
  <c r="D65" i="1"/>
  <c r="G62" i="1"/>
  <c r="G64" i="1"/>
  <c r="E64" i="1"/>
  <c r="D64" i="1"/>
  <c r="G63" i="1"/>
  <c r="C55" i="1" l="1"/>
  <c r="C54" i="1"/>
  <c r="C53" i="1"/>
  <c r="I53" i="1" s="1"/>
  <c r="S54" i="1"/>
  <c r="P54" i="1" s="1"/>
  <c r="E56" i="1"/>
  <c r="S57" i="1"/>
  <c r="Q57" i="1" s="1"/>
  <c r="D55" i="1"/>
  <c r="S56" i="1"/>
  <c r="D56" i="1"/>
  <c r="G55" i="1"/>
  <c r="F53" i="1"/>
  <c r="E54" i="1"/>
  <c r="D54" i="1"/>
  <c r="D57" i="1"/>
  <c r="E53" i="1"/>
  <c r="F57" i="1"/>
  <c r="F55" i="1"/>
  <c r="E57" i="1"/>
  <c r="E55" i="1"/>
  <c r="D53" i="1"/>
  <c r="G56" i="1"/>
  <c r="G54" i="1"/>
  <c r="G53" i="1"/>
  <c r="F56" i="1"/>
  <c r="F54" i="1"/>
  <c r="O55" i="1"/>
  <c r="R55" i="1"/>
  <c r="P55" i="1"/>
  <c r="Q55" i="1"/>
  <c r="I55" i="1" l="1"/>
  <c r="O54" i="1"/>
  <c r="R54" i="1"/>
  <c r="Q54" i="1"/>
  <c r="P57" i="1"/>
  <c r="O57" i="1"/>
  <c r="R57" i="1"/>
  <c r="I57" i="1"/>
  <c r="I54" i="1"/>
  <c r="I56" i="1"/>
  <c r="U55" i="1" l="1"/>
  <c r="U54" i="1"/>
  <c r="I58" i="1"/>
  <c r="D10" i="1" s="1"/>
  <c r="U56" i="1"/>
  <c r="Q56" i="1"/>
  <c r="R56" i="1"/>
  <c r="O56" i="1"/>
  <c r="P56" i="1"/>
  <c r="U57" i="1" l="1"/>
  <c r="U58" i="1" s="1"/>
  <c r="C10" i="1"/>
  <c r="D16" i="1"/>
  <c r="C13" i="1"/>
  <c r="C16" i="1"/>
  <c r="C17" i="1"/>
  <c r="C15" i="1"/>
  <c r="D17" i="1"/>
  <c r="C14" i="1"/>
  <c r="D14" i="1"/>
  <c r="D15" i="1"/>
  <c r="D13" i="1"/>
</calcChain>
</file>

<file path=xl/sharedStrings.xml><?xml version="1.0" encoding="utf-8"?>
<sst xmlns="http://schemas.openxmlformats.org/spreadsheetml/2006/main" count="71" uniqueCount="54">
  <si>
    <t>Weekly</t>
  </si>
  <si>
    <t>Fortnightly</t>
  </si>
  <si>
    <t>4-weekly</t>
  </si>
  <si>
    <t>Monthly</t>
  </si>
  <si>
    <t>Annually</t>
  </si>
  <si>
    <t>I am aged under 70:</t>
  </si>
  <si>
    <t>No</t>
  </si>
  <si>
    <t>Yes</t>
  </si>
  <si>
    <t>Calculation</t>
  </si>
  <si>
    <t>Amount per week</t>
  </si>
  <si>
    <t>Amount per fortnight</t>
  </si>
  <si>
    <t>Amount per 4-week</t>
  </si>
  <si>
    <t>Amount per month</t>
  </si>
  <si>
    <t>Amount per year</t>
  </si>
  <si>
    <t>I am an employee</t>
  </si>
  <si>
    <t>Your PAYE status:</t>
  </si>
  <si>
    <t>Test for reduced rate</t>
  </si>
  <si>
    <t>Normal basis</t>
  </si>
  <si>
    <t>Emergency basis</t>
  </si>
  <si>
    <t>USC on an emergency basis</t>
  </si>
  <si>
    <t>Calculate the amount of Universal Social Charge you will pay</t>
  </si>
  <si>
    <t>Annual threshold 1</t>
  </si>
  <si>
    <t>Annual threshold 2</t>
  </si>
  <si>
    <t>Annual threshold 3</t>
  </si>
  <si>
    <t>Annual threshold 4</t>
  </si>
  <si>
    <t>Self employed excess % rate</t>
  </si>
  <si>
    <t>Self employed threshold value</t>
  </si>
  <si>
    <t>Normal % rate 1</t>
  </si>
  <si>
    <t>Normal % rate 2</t>
  </si>
  <si>
    <t>Normal % rate 3</t>
  </si>
  <si>
    <t>Normal % rate 4</t>
  </si>
  <si>
    <t>Normal % rate 5</t>
  </si>
  <si>
    <t>Reduced % rate 1</t>
  </si>
  <si>
    <t>Reduced % rate 2</t>
  </si>
  <si>
    <t>Reduced % rate 3</t>
  </si>
  <si>
    <t>Reduced % rate 4</t>
  </si>
  <si>
    <t>Reduced % rate 5</t>
  </si>
  <si>
    <t>Annual minimum income</t>
  </si>
  <si>
    <t>Reduced rate available</t>
  </si>
  <si>
    <t>Maximum income for reduced rate</t>
  </si>
  <si>
    <t>N/A</t>
  </si>
  <si>
    <t>&lt;&lt; min income to be liable in selected year</t>
  </si>
  <si>
    <r>
      <t xml:space="preserve">I have a </t>
    </r>
    <r>
      <rPr>
        <b/>
        <sz val="11"/>
        <color indexed="8"/>
        <rFont val="Calibri"/>
        <family val="2"/>
      </rPr>
      <t>full</t>
    </r>
    <r>
      <rPr>
        <b/>
        <sz val="11"/>
        <color theme="1"/>
        <rFont val="Calibri"/>
        <family val="2"/>
        <scheme val="minor"/>
      </rPr>
      <t xml:space="preserve"> medical card </t>
    </r>
    <r>
      <rPr>
        <b/>
        <sz val="11"/>
        <rFont val="Calibri"/>
        <family val="2"/>
      </rPr>
      <t>(</t>
    </r>
    <r>
      <rPr>
        <b/>
        <u/>
        <sz val="11"/>
        <color indexed="10"/>
        <rFont val="Calibri"/>
        <family val="2"/>
      </rPr>
      <t>not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a GP only card)</t>
    </r>
    <r>
      <rPr>
        <b/>
        <sz val="11"/>
        <color theme="1"/>
        <rFont val="Calibri"/>
        <family val="2"/>
        <scheme val="minor"/>
      </rPr>
      <t>:</t>
    </r>
  </si>
  <si>
    <t>2020 Jan only</t>
  </si>
  <si>
    <t>2020 Feb-Dec</t>
  </si>
  <si>
    <t>DOWNLOAD</t>
  </si>
  <si>
    <t>Sharing standard rate band</t>
  </si>
  <si>
    <t>Mac, Excel online or Office for mobile phones)</t>
  </si>
  <si>
    <t xml:space="preserve"> - allows dual income couples to compute how to optimally share their standard rate band based on their respective incomes (for all devices)</t>
  </si>
  <si>
    <t>HOW TO UNBLOCK</t>
  </si>
  <si>
    <t>Download my other tax related Excel spreadsheets- all 100% free!</t>
  </si>
  <si>
    <t xml:space="preserve">- an easy to use macro enabled spreadsheet to help you calculate your expected take-home pay (for Windows PC only, Excel 2010 and later; won't work on </t>
  </si>
  <si>
    <r>
      <t xml:space="preserve">Note: </t>
    </r>
    <r>
      <rPr>
        <sz val="11"/>
        <color theme="1"/>
        <rFont val="Calibri"/>
        <family val="2"/>
        <scheme val="minor"/>
      </rPr>
      <t>You'll need to 'Unblock' the above workbook when opening the first time (this is a Microsoft security precaution for macro-enabled spreadsheets).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</si>
  <si>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2"/>
        <color rgb="FFFF0000"/>
        <rFont val="Calibri"/>
        <family val="2"/>
        <scheme val="minor"/>
      </rPr>
      <t>Net pay calculator</t>
    </r>
    <r>
      <rPr>
        <b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</si>
</sst>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10"/>
      <name val="Calibri"/>
      <family val="2"/>
    </font>
    <font>
      <b/>
      <sz val="16"/>
      <color indexed="10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u val="doubleAccounting"/>
      <sz val="11"/>
      <color theme="0"/>
      <name val="Calibri"/>
      <family val="2"/>
    </font>
    <font>
      <sz val="12"/>
      <color rgb="FF333333"/>
      <name val="Arial"/>
      <family val="2"/>
    </font>
    <font>
      <sz val="11"/>
      <color rgb="FFFFFF00"/>
      <name val="Calibri"/>
      <family val="2"/>
      <scheme val="minor"/>
    </font>
    <font>
      <sz val="13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82">
    <xf numFmtId="0" fontId="0" fillId="0" borderId="0" xfId="0"/>
    <xf numFmtId="44" fontId="0" fillId="0" borderId="0" xfId="0" applyNumberFormat="1"/>
    <xf numFmtId="0" fontId="0" fillId="2" borderId="0" xfId="0" applyFill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 indent="2"/>
    </xf>
    <xf numFmtId="44" fontId="0" fillId="3" borderId="0" xfId="0" applyNumberFormat="1" applyFill="1"/>
    <xf numFmtId="44" fontId="1" fillId="2" borderId="0" xfId="1" applyFont="1" applyFill="1"/>
    <xf numFmtId="0" fontId="13" fillId="4" borderId="1" xfId="0" applyFont="1" applyFill="1" applyBorder="1" applyAlignment="1">
      <alignment horizontal="left" indent="2"/>
    </xf>
    <xf numFmtId="44" fontId="13" fillId="4" borderId="2" xfId="0" applyNumberFormat="1" applyFont="1" applyFill="1" applyBorder="1"/>
    <xf numFmtId="0" fontId="13" fillId="4" borderId="3" xfId="0" applyFont="1" applyFill="1" applyBorder="1" applyAlignment="1">
      <alignment horizontal="left" indent="2"/>
    </xf>
    <xf numFmtId="44" fontId="13" fillId="4" borderId="4" xfId="0" applyNumberFormat="1" applyFont="1" applyFill="1" applyBorder="1"/>
    <xf numFmtId="0" fontId="13" fillId="4" borderId="5" xfId="0" applyFont="1" applyFill="1" applyBorder="1" applyAlignment="1">
      <alignment horizontal="left" indent="2"/>
    </xf>
    <xf numFmtId="44" fontId="13" fillId="4" borderId="5" xfId="0" applyNumberFormat="1" applyFont="1" applyFill="1" applyBorder="1"/>
    <xf numFmtId="0" fontId="11" fillId="0" borderId="0" xfId="0" applyFont="1" applyAlignment="1">
      <alignment horizontal="center"/>
    </xf>
    <xf numFmtId="0" fontId="14" fillId="5" borderId="0" xfId="0" applyFont="1" applyFill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9" fontId="14" fillId="5" borderId="10" xfId="0" applyNumberFormat="1" applyFont="1" applyFill="1" applyBorder="1"/>
    <xf numFmtId="44" fontId="9" fillId="5" borderId="11" xfId="0" applyNumberFormat="1" applyFont="1" applyFill="1" applyBorder="1"/>
    <xf numFmtId="44" fontId="15" fillId="5" borderId="11" xfId="0" applyNumberFormat="1" applyFont="1" applyFill="1" applyBorder="1"/>
    <xf numFmtId="0" fontId="9" fillId="5" borderId="12" xfId="0" applyFont="1" applyFill="1" applyBorder="1"/>
    <xf numFmtId="0" fontId="9" fillId="5" borderId="13" xfId="0" applyFont="1" applyFill="1" applyBorder="1"/>
    <xf numFmtId="44" fontId="16" fillId="5" borderId="14" xfId="0" applyNumberFormat="1" applyFont="1" applyFill="1" applyBorder="1"/>
    <xf numFmtId="44" fontId="9" fillId="6" borderId="0" xfId="0" applyNumberFormat="1" applyFont="1" applyFill="1"/>
    <xf numFmtId="0" fontId="10" fillId="6" borderId="0" xfId="0" applyFont="1" applyFill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0" fillId="7" borderId="0" xfId="0" applyFill="1"/>
    <xf numFmtId="9" fontId="0" fillId="7" borderId="0" xfId="0" applyNumberFormat="1" applyFill="1"/>
    <xf numFmtId="0" fontId="12" fillId="0" borderId="0" xfId="0" applyFont="1"/>
    <xf numFmtId="0" fontId="18" fillId="8" borderId="0" xfId="0" applyFont="1" applyFill="1"/>
    <xf numFmtId="2" fontId="0" fillId="0" borderId="0" xfId="0" applyNumberFormat="1"/>
    <xf numFmtId="44" fontId="19" fillId="0" borderId="0" xfId="1" applyFont="1"/>
    <xf numFmtId="0" fontId="20" fillId="0" borderId="0" xfId="0" applyFont="1"/>
    <xf numFmtId="0" fontId="11" fillId="0" borderId="0" xfId="0" applyFont="1" applyAlignment="1">
      <alignment horizontal="left" indent="4"/>
    </xf>
    <xf numFmtId="0" fontId="4" fillId="0" borderId="0" xfId="0" applyFont="1" applyAlignment="1">
      <alignment horizontal="left" indent="2"/>
    </xf>
    <xf numFmtId="0" fontId="11" fillId="10" borderId="6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4" fontId="0" fillId="10" borderId="6" xfId="0" applyNumberFormat="1" applyFill="1" applyBorder="1"/>
    <xf numFmtId="0" fontId="0" fillId="10" borderId="6" xfId="0" applyFill="1" applyBorder="1"/>
    <xf numFmtId="0" fontId="3" fillId="10" borderId="6" xfId="0" applyFont="1" applyFill="1" applyBorder="1"/>
    <xf numFmtId="0" fontId="11" fillId="7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5" xfId="0" applyBorder="1"/>
    <xf numFmtId="0" fontId="0" fillId="10" borderId="18" xfId="0" applyFill="1" applyBorder="1"/>
    <xf numFmtId="0" fontId="0" fillId="10" borderId="16" xfId="0" applyFill="1" applyBorder="1"/>
    <xf numFmtId="0" fontId="0" fillId="10" borderId="3" xfId="0" applyFill="1" applyBorder="1"/>
    <xf numFmtId="0" fontId="0" fillId="10" borderId="0" xfId="0" applyFill="1"/>
    <xf numFmtId="0" fontId="17" fillId="10" borderId="3" xfId="0" applyFont="1" applyFill="1" applyBorder="1"/>
    <xf numFmtId="0" fontId="0" fillId="10" borderId="19" xfId="0" applyFill="1" applyBorder="1"/>
    <xf numFmtId="9" fontId="0" fillId="10" borderId="0" xfId="0" applyNumberFormat="1" applyFill="1"/>
    <xf numFmtId="9" fontId="0" fillId="10" borderId="19" xfId="0" applyNumberFormat="1" applyFill="1" applyBorder="1"/>
    <xf numFmtId="0" fontId="0" fillId="10" borderId="0" xfId="0" applyFill="1" applyAlignment="1">
      <alignment horizontal="right"/>
    </xf>
    <xf numFmtId="0" fontId="0" fillId="10" borderId="21" xfId="0" applyFill="1" applyBorder="1"/>
    <xf numFmtId="0" fontId="23" fillId="10" borderId="1" xfId="0" applyFont="1" applyFill="1" applyBorder="1"/>
    <xf numFmtId="0" fontId="13" fillId="0" borderId="0" xfId="0" applyFont="1"/>
    <xf numFmtId="0" fontId="11" fillId="10" borderId="22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164" fontId="0" fillId="10" borderId="22" xfId="0" applyNumberFormat="1" applyFill="1" applyBorder="1"/>
    <xf numFmtId="0" fontId="0" fillId="10" borderId="22" xfId="0" applyFill="1" applyBorder="1"/>
    <xf numFmtId="0" fontId="3" fillId="3" borderId="17" xfId="0" applyFont="1" applyFill="1" applyBorder="1" applyAlignment="1">
      <alignment horizontal="center"/>
    </xf>
    <xf numFmtId="0" fontId="3" fillId="0" borderId="15" xfId="0" applyFont="1" applyBorder="1"/>
    <xf numFmtId="0" fontId="11" fillId="10" borderId="15" xfId="0" applyFont="1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164" fontId="0" fillId="10" borderId="15" xfId="0" applyNumberFormat="1" applyFill="1" applyBorder="1"/>
    <xf numFmtId="0" fontId="0" fillId="10" borderId="15" xfId="0" applyFill="1" applyBorder="1"/>
    <xf numFmtId="0" fontId="24" fillId="10" borderId="17" xfId="0" applyFont="1" applyFill="1" applyBorder="1"/>
    <xf numFmtId="0" fontId="24" fillId="10" borderId="19" xfId="0" applyFont="1" applyFill="1" applyBorder="1"/>
    <xf numFmtId="0" fontId="0" fillId="10" borderId="3" xfId="0" quotePrefix="1" applyFill="1" applyBorder="1"/>
    <xf numFmtId="0" fontId="0" fillId="10" borderId="20" xfId="0" quotePrefix="1" applyFill="1" applyBorder="1"/>
    <xf numFmtId="0" fontId="11" fillId="9" borderId="3" xfId="0" applyFont="1" applyFill="1" applyBorder="1"/>
    <xf numFmtId="0" fontId="0" fillId="9" borderId="0" xfId="0" applyFill="1"/>
    <xf numFmtId="0" fontId="25" fillId="9" borderId="19" xfId="2" applyFont="1" applyFill="1" applyBorder="1"/>
    <xf numFmtId="0" fontId="26" fillId="10" borderId="3" xfId="0" applyFont="1" applyFill="1" applyBorder="1"/>
    <xf numFmtId="0" fontId="27" fillId="10" borderId="3" xfId="0" applyFont="1" applyFill="1" applyBorder="1"/>
    <xf numFmtId="0" fontId="22" fillId="10" borderId="19" xfId="2" applyFill="1" applyBorder="1"/>
  </cellXfs>
  <cellStyles count="3">
    <cellStyle name="Currency" xfId="1" builtinId="4"/>
    <cellStyle name="Hyperlink" xfId="2" builtinId="8"/>
    <cellStyle name="Normal" xfId="0" builtinId="0"/>
  </cellStyles>
  <dxfs count="4">
    <dxf>
      <font>
        <b/>
        <i val="0"/>
        <color theme="0"/>
      </font>
      <fill>
        <patternFill patternType="solid">
          <bgColor rgb="FFFF9797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3</xdr:row>
      <xdr:rowOff>9525</xdr:rowOff>
    </xdr:from>
    <xdr:to>
      <xdr:col>6</xdr:col>
      <xdr:colOff>995363</xdr:colOff>
      <xdr:row>9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076951" y="838200"/>
          <a:ext cx="3943350" cy="1076325"/>
          <a:chOff x="5676901" y="866775"/>
          <a:chExt cx="3557910" cy="1133475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6086475" y="866775"/>
            <a:ext cx="3148336" cy="1133475"/>
          </a:xfrm>
          <a:prstGeom prst="rect">
            <a:avLst/>
          </a:prstGeom>
          <a:solidFill>
            <a:srgbClr val="FFFFCC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288000" rtlCol="0" anchor="t"/>
          <a:lstStyle/>
          <a:p>
            <a:r>
              <a:rPr lang="en-IE" sz="1800" b="1"/>
              <a:t>Instructions</a:t>
            </a:r>
          </a:p>
          <a:p>
            <a:endParaRPr lang="en-IE" sz="1100"/>
          </a:p>
          <a:p>
            <a:r>
              <a:rPr lang="en-IE" sz="1100"/>
              <a:t>Change</a:t>
            </a:r>
            <a:r>
              <a:rPr lang="en-IE" sz="1100" baseline="0"/>
              <a:t> these values as required for your personal circumstances.</a:t>
            </a:r>
            <a:endParaRPr lang="en-IE" sz="1100"/>
          </a:p>
        </xdr:txBody>
      </xdr:sp>
      <xdr:sp macro="" textlink="">
        <xdr:nvSpPr>
          <xdr:cNvPr id="2" name="Left Brac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5676901" y="866775"/>
            <a:ext cx="523875" cy="1133473"/>
          </a:xfrm>
          <a:prstGeom prst="leftBrace">
            <a:avLst>
              <a:gd name="adj1" fmla="val 8333"/>
              <a:gd name="adj2" fmla="val 49160"/>
            </a:avLst>
          </a:prstGeom>
          <a:solidFill>
            <a:srgbClr val="FFFFCC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en-IE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xcalc.eu/monthlyss/Unblocking.html" TargetMode="External"/><Relationship Id="rId2" Type="http://schemas.openxmlformats.org/officeDocument/2006/relationships/hyperlink" Target="https://taxcalc.eu/monthlyss/Employee%20PAYE%20calculator.xlsm" TargetMode="External"/><Relationship Id="rId1" Type="http://schemas.openxmlformats.org/officeDocument/2006/relationships/hyperlink" Target="http://taxcalc.eu/monthlyss/SRCOP%20allocation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U79"/>
  <sheetViews>
    <sheetView showGridLines="0" tabSelected="1" topLeftCell="A4" workbookViewId="0">
      <selection activeCell="C6" sqref="C6"/>
    </sheetView>
  </sheetViews>
  <sheetFormatPr defaultRowHeight="14.25" x14ac:dyDescent="0.45"/>
  <cols>
    <col min="1" max="1" width="3.73046875" customWidth="1"/>
    <col min="2" max="2" width="61.86328125" customWidth="1"/>
    <col min="3" max="3" width="17.73046875" customWidth="1"/>
    <col min="4" max="4" width="16" bestFit="1" customWidth="1"/>
    <col min="5" max="5" width="13.265625" customWidth="1"/>
    <col min="6" max="6" width="13.73046875" bestFit="1" customWidth="1"/>
    <col min="7" max="7" width="16.06640625" customWidth="1"/>
    <col min="8" max="8" width="12" bestFit="1" customWidth="1"/>
    <col min="9" max="9" width="13.1328125" customWidth="1"/>
    <col min="10" max="11" width="12.86328125" customWidth="1"/>
    <col min="12" max="12" width="13.1328125" customWidth="1"/>
    <col min="13" max="13" width="11" customWidth="1"/>
    <col min="15" max="15" width="12" bestFit="1" customWidth="1"/>
    <col min="16" max="17" width="11.59765625" bestFit="1" customWidth="1"/>
    <col min="18" max="18" width="11.73046875" bestFit="1" customWidth="1"/>
    <col min="19" max="19" width="15.53125" customWidth="1"/>
    <col min="21" max="21" width="12" bestFit="1" customWidth="1"/>
    <col min="25" max="25" width="12.73046875" customWidth="1"/>
    <col min="31" max="31" width="13.59765625" customWidth="1"/>
    <col min="34" max="34" width="11.3984375" customWidth="1"/>
    <col min="43" max="43" width="10.59765625" bestFit="1" customWidth="1"/>
    <col min="52" max="52" width="11.3984375" customWidth="1"/>
    <col min="61" max="61" width="11.265625" customWidth="1"/>
    <col min="70" max="70" width="10.86328125" bestFit="1" customWidth="1"/>
  </cols>
  <sheetData>
    <row r="2" spans="2:7" ht="25.5" x14ac:dyDescent="0.75">
      <c r="B2" s="38" t="s">
        <v>20</v>
      </c>
    </row>
    <row r="3" spans="2:7" ht="25.5" x14ac:dyDescent="0.75">
      <c r="B3" s="38"/>
    </row>
    <row r="4" spans="2:7" x14ac:dyDescent="0.45">
      <c r="B4" s="37" t="str">
        <f ca="1">"Choose the tax year (caters for all tax years from "&amp;IF(LEN(INDEX(YearsAvailable,1))&gt;4,MID(INDEX(YearsAvailable,1),1,4)&amp;" to "&amp;IF(LEN(INDEX(YearsAvailable,COUNTA(YearsAvailable)))&gt;4,MID(INDEX(YearsAvailable,COUNTA(YearsAvailable)),6,4),INDEX(YearsAvailable,COUNTA(YearsAvailable))),INDEX(YearsAvailable,1)&amp;" to "&amp;LEFT(INDEX(YearsAvailable,COUNTA(YearsAvailable)),4))&amp;")"</f>
        <v>Choose the tax year (caters for all tax years from 2011 to 2026)</v>
      </c>
      <c r="C4" s="2">
        <v>2026</v>
      </c>
    </row>
    <row r="5" spans="2:7" x14ac:dyDescent="0.45">
      <c r="B5" s="37" t="s">
        <v>15</v>
      </c>
      <c r="C5" s="2" t="s">
        <v>14</v>
      </c>
    </row>
    <row r="6" spans="2:7" x14ac:dyDescent="0.45">
      <c r="B6" s="37" t="str">
        <f>IF(C5="I am an employee","Enter your gross pay:","Enter your gross earnings:")</f>
        <v>Enter your gross pay:</v>
      </c>
      <c r="C6" s="6"/>
    </row>
    <row r="7" spans="2:7" x14ac:dyDescent="0.45">
      <c r="B7" s="37" t="str">
        <f>IF(C5="I am an employee","The above pay is received:","The above amount is earned:")</f>
        <v>The above pay is received:</v>
      </c>
      <c r="C7" s="2" t="s">
        <v>4</v>
      </c>
    </row>
    <row r="8" spans="2:7" x14ac:dyDescent="0.45">
      <c r="B8" s="37" t="s">
        <v>5</v>
      </c>
      <c r="C8" s="2" t="s">
        <v>7</v>
      </c>
    </row>
    <row r="9" spans="2:7" x14ac:dyDescent="0.45">
      <c r="B9" s="37" t="s">
        <v>42</v>
      </c>
      <c r="C9" s="2" t="s">
        <v>6</v>
      </c>
    </row>
    <row r="10" spans="2:7" ht="21" x14ac:dyDescent="0.65">
      <c r="B10" s="4" t="str">
        <f>IF(C5="I am an employee","The Universal Social Charge on your pay is","The Universal Social Charge on your earnings is:")</f>
        <v>The Universal Social Charge on your pay is</v>
      </c>
      <c r="C10" s="35">
        <f ca="1">I58</f>
        <v>0</v>
      </c>
      <c r="D10" s="36" t="str">
        <f ca="1">IF(ISERROR(I58),"The calculation returns an error. This is probably because you entered a non-numeric gross pay value.",IF(C6=0,"",IF(AND(MATCH(C4,YearsAvailable,0),C6*INDEX(D51:H51,MATCH(C7,D52:H52,0))&lt;I51),"Exempt from USC due to low income",IF(C6&gt;0,IF(C7="Annually","per year","per pay period"),""))))</f>
        <v/>
      </c>
      <c r="E10" s="3"/>
    </row>
    <row r="12" spans="2:7" x14ac:dyDescent="0.45">
      <c r="C12" s="13" t="s">
        <v>17</v>
      </c>
      <c r="D12" s="28" t="s">
        <v>18</v>
      </c>
    </row>
    <row r="13" spans="2:7" x14ac:dyDescent="0.45">
      <c r="B13" s="7" t="s">
        <v>9</v>
      </c>
      <c r="C13" s="8">
        <f ca="1">outWeekly INDIRECT("in"&amp;IF(C7="4-weekly","Fourweekly",$C$7))*$C$10*(C6*INDEX(D51:H51,MATCH(C7,D52:H52,0))&gt;I51)</f>
        <v>0</v>
      </c>
      <c r="D13" s="27">
        <f ca="1">outWeekly INDIRECT("in"&amp;IF(C7="4-weekly","Fourweekly",$C$7))*$U$58*(C6*INDEX(O52:S52,MATCH(C7,O53:S53,0))&gt;I51)</f>
        <v>0</v>
      </c>
      <c r="G13" s="1"/>
    </row>
    <row r="14" spans="2:7" x14ac:dyDescent="0.45">
      <c r="B14" s="9" t="s">
        <v>10</v>
      </c>
      <c r="C14" s="10">
        <f ca="1">outFortnightly INDIRECT("in"&amp;IF(C7="4-weekly","Fourweekly",$C$7))*$C$10*(C6*INDEX(D51:H51,MATCH(C7,D52:H52,0))&gt;I51)</f>
        <v>0</v>
      </c>
      <c r="D14" s="27">
        <f ca="1">outFortnightly INDIRECT("in"&amp;IF(C7="4-weekly","Fourweekly",$C$7))*$U$58*(C6*INDEX(O52:S52,MATCH(C7,O53:S53,0))&gt;I51)</f>
        <v>0</v>
      </c>
    </row>
    <row r="15" spans="2:7" x14ac:dyDescent="0.45">
      <c r="B15" s="9" t="s">
        <v>11</v>
      </c>
      <c r="C15" s="10">
        <f ca="1">outFourweekly INDIRECT("in"&amp;IF(C7="4-weekly","Fourweekly",$C$7))*$C$10*(C6*INDEX(D51:H51,MATCH(C7,D52:H52,0))&gt;I51)</f>
        <v>0</v>
      </c>
      <c r="D15" s="27">
        <f ca="1">outFourweekly INDIRECT("in"&amp;IF(C7="4-weekly","Fourweekly",$C$7))*$U$58*(C6*INDEX(O52:S52,MATCH(C7,O53:S53,0))&gt;I51)</f>
        <v>0</v>
      </c>
    </row>
    <row r="16" spans="2:7" x14ac:dyDescent="0.45">
      <c r="B16" s="9" t="s">
        <v>12</v>
      </c>
      <c r="C16" s="10">
        <f ca="1">outMonthly INDIRECT("in"&amp;IF(C7="4-weekly","Fourweekly",$C$7))*$C$10*(C6*INDEX(D51:H51,MATCH(C7,D52:H52,0))&gt;I51)</f>
        <v>0</v>
      </c>
      <c r="D16" s="27">
        <f ca="1">outMonthly INDIRECT("in"&amp;IF(C7="4-weekly","Fourweekly",$C$7))*$U$58*(C6*INDEX(O52:S52,MATCH(C7,O53:S53,0))&gt;I51)</f>
        <v>0</v>
      </c>
      <c r="G16" s="59"/>
    </row>
    <row r="17" spans="2:20" x14ac:dyDescent="0.45">
      <c r="B17" s="11" t="s">
        <v>13</v>
      </c>
      <c r="C17" s="12">
        <f ca="1">outAnnually INDIRECT("in"&amp;IF(C7="4-weekly","Fourweekly",$C$7))*$C$10*(C6*INDEX(D51:H51,MATCH(C7,D52:H52,0))&gt;I51)</f>
        <v>0</v>
      </c>
      <c r="D17" s="27">
        <f ca="1">outAnnually INDIRECT("in"&amp;IF(C7="4-weekly","Fourweekly",$C$7))*$U$58*(C6*INDEX(O52:S52,MATCH(C7,O53:S53,0))&gt;I51)</f>
        <v>0</v>
      </c>
      <c r="G17" s="59"/>
    </row>
    <row r="18" spans="2:20" x14ac:dyDescent="0.45">
      <c r="G18" s="59"/>
    </row>
    <row r="19" spans="2:20" x14ac:dyDescent="0.45">
      <c r="G19" s="59"/>
    </row>
    <row r="20" spans="2:20" x14ac:dyDescent="0.45">
      <c r="G20" s="59"/>
    </row>
    <row r="22" spans="2:20" hidden="1" x14ac:dyDescent="0.45">
      <c r="B22" s="50"/>
      <c r="C22" s="51"/>
      <c r="D22" s="39">
        <v>2011</v>
      </c>
      <c r="E22" s="39">
        <v>2012</v>
      </c>
      <c r="F22" s="60">
        <v>2013</v>
      </c>
      <c r="G22" s="67">
        <v>2014</v>
      </c>
      <c r="H22" s="45">
        <v>2015</v>
      </c>
      <c r="I22" s="29">
        <v>2016</v>
      </c>
      <c r="J22" s="29">
        <v>2017</v>
      </c>
      <c r="K22" s="29">
        <v>2018</v>
      </c>
      <c r="L22" s="29">
        <v>2019</v>
      </c>
      <c r="M22" s="29" t="s">
        <v>43</v>
      </c>
      <c r="N22" s="29" t="s">
        <v>44</v>
      </c>
      <c r="O22" s="29">
        <v>2021</v>
      </c>
      <c r="P22" s="29">
        <v>2022</v>
      </c>
      <c r="Q22" s="29">
        <v>2023</v>
      </c>
      <c r="R22" s="29">
        <v>2024</v>
      </c>
      <c r="S22" s="29">
        <v>2025</v>
      </c>
      <c r="T22" s="29">
        <v>2026</v>
      </c>
    </row>
    <row r="23" spans="2:20" ht="15.4" hidden="1" x14ac:dyDescent="0.45">
      <c r="B23" s="52"/>
      <c r="C23" s="51"/>
      <c r="D23" s="51"/>
      <c r="E23" s="51"/>
      <c r="F23" s="51"/>
      <c r="G23" s="53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ht="15.4" hidden="1" x14ac:dyDescent="0.45">
      <c r="B24" s="52" t="s">
        <v>37</v>
      </c>
      <c r="C24" s="51"/>
      <c r="D24" s="51">
        <v>4004</v>
      </c>
      <c r="E24" s="51">
        <v>4004</v>
      </c>
      <c r="F24" s="51">
        <v>10036</v>
      </c>
      <c r="G24" s="53">
        <v>10036</v>
      </c>
      <c r="H24" s="30">
        <v>12012</v>
      </c>
      <c r="I24" s="30">
        <v>13000</v>
      </c>
      <c r="J24" s="30">
        <v>13000</v>
      </c>
      <c r="K24" s="30">
        <v>13000</v>
      </c>
      <c r="L24" s="30">
        <v>13000</v>
      </c>
      <c r="M24" s="30">
        <v>13000</v>
      </c>
      <c r="N24" s="30">
        <v>13000</v>
      </c>
      <c r="O24" s="30">
        <v>13000</v>
      </c>
      <c r="P24" s="30">
        <v>13000</v>
      </c>
      <c r="Q24" s="30">
        <v>13000</v>
      </c>
      <c r="R24" s="30">
        <v>13000</v>
      </c>
      <c r="S24" s="30">
        <v>13000</v>
      </c>
      <c r="T24" s="30">
        <v>13000</v>
      </c>
    </row>
    <row r="25" spans="2:20" ht="15.4" hidden="1" x14ac:dyDescent="0.45">
      <c r="B25" s="52" t="s">
        <v>27</v>
      </c>
      <c r="C25" s="51"/>
      <c r="D25" s="51">
        <v>0.02</v>
      </c>
      <c r="E25" s="51">
        <v>0.02</v>
      </c>
      <c r="F25" s="51">
        <v>0.02</v>
      </c>
      <c r="G25" s="53">
        <v>0.02</v>
      </c>
      <c r="H25" s="30">
        <v>1.4999999999999999E-2</v>
      </c>
      <c r="I25" s="30">
        <v>0.01</v>
      </c>
      <c r="J25" s="30">
        <v>5.0000000000000001E-3</v>
      </c>
      <c r="K25" s="30">
        <v>5.0000000000000001E-3</v>
      </c>
      <c r="L25" s="30">
        <v>5.0000000000000001E-3</v>
      </c>
      <c r="M25" s="30">
        <v>5.0000000000000001E-3</v>
      </c>
      <c r="N25" s="30">
        <v>5.0000000000000001E-3</v>
      </c>
      <c r="O25" s="30">
        <v>5.0000000000000001E-3</v>
      </c>
      <c r="P25" s="30">
        <v>5.0000000000000001E-3</v>
      </c>
      <c r="Q25" s="30">
        <v>5.0000000000000001E-3</v>
      </c>
      <c r="R25" s="30">
        <v>5.0000000000000001E-3</v>
      </c>
      <c r="S25" s="30">
        <v>5.0000000000000001E-3</v>
      </c>
      <c r="T25" s="30">
        <v>5.0000000000000001E-3</v>
      </c>
    </row>
    <row r="26" spans="2:20" ht="15.4" hidden="1" x14ac:dyDescent="0.45">
      <c r="B26" s="52" t="s">
        <v>28</v>
      </c>
      <c r="C26" s="51"/>
      <c r="D26" s="51">
        <v>0.04</v>
      </c>
      <c r="E26" s="51">
        <v>0.04</v>
      </c>
      <c r="F26" s="51">
        <v>0.04</v>
      </c>
      <c r="G26" s="53">
        <v>0.04</v>
      </c>
      <c r="H26" s="30">
        <v>3.5000000000000003E-2</v>
      </c>
      <c r="I26" s="30">
        <v>0.03</v>
      </c>
      <c r="J26" s="30">
        <v>2.5000000000000001E-2</v>
      </c>
      <c r="K26" s="30">
        <v>0.02</v>
      </c>
      <c r="L26" s="30">
        <v>0.02</v>
      </c>
      <c r="M26" s="30">
        <v>0.02</v>
      </c>
      <c r="N26" s="30">
        <v>0.02</v>
      </c>
      <c r="O26" s="30">
        <v>0.02</v>
      </c>
      <c r="P26" s="30">
        <v>0.02</v>
      </c>
      <c r="Q26" s="30">
        <v>0.02</v>
      </c>
      <c r="R26" s="30">
        <v>0.02</v>
      </c>
      <c r="S26" s="30">
        <v>0.02</v>
      </c>
      <c r="T26" s="30">
        <v>0.02</v>
      </c>
    </row>
    <row r="27" spans="2:20" ht="15.4" hidden="1" x14ac:dyDescent="0.45">
      <c r="B27" s="52" t="s">
        <v>29</v>
      </c>
      <c r="C27" s="51"/>
      <c r="D27" s="51">
        <v>7.0000000000000007E-2</v>
      </c>
      <c r="E27" s="51">
        <v>7.0000000000000007E-2</v>
      </c>
      <c r="F27" s="51">
        <v>7.0000000000000007E-2</v>
      </c>
      <c r="G27" s="53">
        <v>7.0000000000000007E-2</v>
      </c>
      <c r="H27" s="30">
        <v>7.0000000000000007E-2</v>
      </c>
      <c r="I27" s="30">
        <v>5.5E-2</v>
      </c>
      <c r="J27" s="30">
        <v>0.05</v>
      </c>
      <c r="K27" s="30">
        <v>4.7500000000000001E-2</v>
      </c>
      <c r="L27" s="30">
        <v>4.4999999999999998E-2</v>
      </c>
      <c r="M27" s="30">
        <v>4.4999999999999998E-2</v>
      </c>
      <c r="N27" s="30">
        <v>4.4999999999999998E-2</v>
      </c>
      <c r="O27" s="30">
        <v>4.4999999999999998E-2</v>
      </c>
      <c r="P27" s="30">
        <v>4.4999999999999998E-2</v>
      </c>
      <c r="Q27" s="30">
        <v>4.4999999999999998E-2</v>
      </c>
      <c r="R27" s="30">
        <v>0.04</v>
      </c>
      <c r="S27" s="30">
        <v>0.03</v>
      </c>
      <c r="T27" s="30">
        <v>0.03</v>
      </c>
    </row>
    <row r="28" spans="2:20" ht="15.4" hidden="1" x14ac:dyDescent="0.45">
      <c r="B28" s="52" t="s">
        <v>30</v>
      </c>
      <c r="C28" s="51"/>
      <c r="D28" s="51">
        <v>0</v>
      </c>
      <c r="E28" s="51">
        <v>0</v>
      </c>
      <c r="F28" s="51">
        <v>0</v>
      </c>
      <c r="G28" s="53">
        <v>0</v>
      </c>
      <c r="H28" s="30">
        <v>0.08</v>
      </c>
      <c r="I28" s="30">
        <v>0.08</v>
      </c>
      <c r="J28" s="30">
        <v>0.08</v>
      </c>
      <c r="K28" s="30">
        <v>0.08</v>
      </c>
      <c r="L28" s="30">
        <v>0.08</v>
      </c>
      <c r="M28" s="30">
        <v>0.08</v>
      </c>
      <c r="N28" s="30">
        <v>0.08</v>
      </c>
      <c r="O28" s="30">
        <v>0.08</v>
      </c>
      <c r="P28" s="30">
        <v>0.08</v>
      </c>
      <c r="Q28" s="30">
        <v>0.08</v>
      </c>
      <c r="R28" s="30">
        <v>0.08</v>
      </c>
      <c r="S28" s="30">
        <v>0.08</v>
      </c>
      <c r="T28" s="30">
        <v>0.08</v>
      </c>
    </row>
    <row r="29" spans="2:20" ht="15.4" hidden="1" x14ac:dyDescent="0.45">
      <c r="B29" s="52" t="s">
        <v>31</v>
      </c>
      <c r="C29" s="51"/>
      <c r="D29" s="51">
        <v>0</v>
      </c>
      <c r="E29" s="51">
        <v>0</v>
      </c>
      <c r="F29" s="51">
        <v>0</v>
      </c>
      <c r="G29" s="53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</row>
    <row r="30" spans="2:20" ht="15.4" hidden="1" x14ac:dyDescent="0.45">
      <c r="B30" s="52" t="s">
        <v>38</v>
      </c>
      <c r="C30" s="51"/>
      <c r="D30" s="51" t="b">
        <v>1</v>
      </c>
      <c r="E30" s="51" t="b">
        <v>1</v>
      </c>
      <c r="F30" s="51" t="b">
        <v>1</v>
      </c>
      <c r="G30" s="53" t="b">
        <v>1</v>
      </c>
      <c r="H30" s="30" t="b">
        <v>1</v>
      </c>
      <c r="I30" s="30" t="b">
        <v>1</v>
      </c>
      <c r="J30" s="30" t="b">
        <v>1</v>
      </c>
      <c r="K30" s="30" t="b">
        <v>1</v>
      </c>
      <c r="L30" s="30" t="b">
        <v>1</v>
      </c>
      <c r="M30" s="30" t="b">
        <v>1</v>
      </c>
      <c r="N30" s="30" t="b">
        <v>1</v>
      </c>
      <c r="O30" s="30" t="b">
        <v>1</v>
      </c>
      <c r="P30" s="30" t="b">
        <v>1</v>
      </c>
      <c r="Q30" s="30" t="b">
        <v>1</v>
      </c>
      <c r="R30" s="30" t="b">
        <v>1</v>
      </c>
      <c r="S30" s="30" t="b">
        <v>1</v>
      </c>
      <c r="T30" s="30" t="b">
        <v>1</v>
      </c>
    </row>
    <row r="31" spans="2:20" ht="15.4" hidden="1" x14ac:dyDescent="0.45">
      <c r="B31" s="52" t="s">
        <v>32</v>
      </c>
      <c r="C31" s="51"/>
      <c r="D31" s="51">
        <v>0.02</v>
      </c>
      <c r="E31" s="51">
        <v>0.02</v>
      </c>
      <c r="F31" s="51">
        <v>0.02</v>
      </c>
      <c r="G31" s="53">
        <v>0.02</v>
      </c>
      <c r="H31" s="30">
        <v>1.4999999999999999E-2</v>
      </c>
      <c r="I31" s="30">
        <v>0.01</v>
      </c>
      <c r="J31" s="30">
        <v>5.0000000000000001E-3</v>
      </c>
      <c r="K31" s="30">
        <v>5.0000000000000001E-3</v>
      </c>
      <c r="L31" s="30">
        <v>5.0000000000000001E-3</v>
      </c>
      <c r="M31" s="30">
        <v>5.0000000000000001E-3</v>
      </c>
      <c r="N31" s="30">
        <v>5.0000000000000001E-3</v>
      </c>
      <c r="O31" s="30">
        <v>5.0000000000000001E-3</v>
      </c>
      <c r="P31" s="30">
        <v>5.0000000000000001E-3</v>
      </c>
      <c r="Q31" s="30">
        <v>5.0000000000000001E-3</v>
      </c>
      <c r="R31" s="30">
        <v>5.0000000000000001E-3</v>
      </c>
      <c r="S31" s="30">
        <v>5.0000000000000001E-3</v>
      </c>
      <c r="T31" s="30">
        <v>5.0000000000000001E-3</v>
      </c>
    </row>
    <row r="32" spans="2:20" ht="15.4" hidden="1" x14ac:dyDescent="0.45">
      <c r="B32" s="52" t="s">
        <v>33</v>
      </c>
      <c r="C32" s="51"/>
      <c r="D32" s="51">
        <v>0.04</v>
      </c>
      <c r="E32" s="51">
        <v>0.04</v>
      </c>
      <c r="F32" s="51">
        <v>0.04</v>
      </c>
      <c r="G32" s="53">
        <v>0.04</v>
      </c>
      <c r="H32" s="30">
        <v>3.5000000000000003E-2</v>
      </c>
      <c r="I32" s="30">
        <v>0.03</v>
      </c>
      <c r="J32" s="30">
        <v>2.5000000000000001E-2</v>
      </c>
      <c r="K32" s="30">
        <v>0.02</v>
      </c>
      <c r="L32" s="30">
        <v>0.02</v>
      </c>
      <c r="M32" s="30">
        <v>0.02</v>
      </c>
      <c r="N32" s="30">
        <v>0.02</v>
      </c>
      <c r="O32" s="30">
        <v>0.02</v>
      </c>
      <c r="P32" s="30">
        <v>0.02</v>
      </c>
      <c r="Q32" s="30">
        <v>0.02</v>
      </c>
      <c r="R32" s="30">
        <v>0.02</v>
      </c>
      <c r="S32" s="30">
        <v>0.02</v>
      </c>
      <c r="T32" s="30">
        <v>0.02</v>
      </c>
    </row>
    <row r="33" spans="2:20" ht="15.4" hidden="1" x14ac:dyDescent="0.45">
      <c r="B33" s="52" t="s">
        <v>34</v>
      </c>
      <c r="C33" s="51"/>
      <c r="D33" s="51">
        <v>0.04</v>
      </c>
      <c r="E33" s="51">
        <v>0.04</v>
      </c>
      <c r="F33" s="51">
        <v>0.04</v>
      </c>
      <c r="G33" s="53">
        <v>0.04</v>
      </c>
      <c r="H33" s="30">
        <v>3.5000000000000003E-2</v>
      </c>
      <c r="I33" s="30">
        <v>0.03</v>
      </c>
      <c r="J33" s="30">
        <v>2.5000000000000001E-2</v>
      </c>
      <c r="K33" s="30">
        <v>0.02</v>
      </c>
      <c r="L33" s="30">
        <v>0.02</v>
      </c>
      <c r="M33" s="30">
        <v>0.02</v>
      </c>
      <c r="N33" s="30">
        <v>0.02</v>
      </c>
      <c r="O33" s="30">
        <v>0.02</v>
      </c>
      <c r="P33" s="30">
        <v>0.02</v>
      </c>
      <c r="Q33" s="30">
        <v>0.02</v>
      </c>
      <c r="R33" s="30">
        <v>0.02</v>
      </c>
      <c r="S33" s="30">
        <v>0.02</v>
      </c>
      <c r="T33" s="30">
        <v>0.02</v>
      </c>
    </row>
    <row r="34" spans="2:20" ht="15.4" hidden="1" x14ac:dyDescent="0.45">
      <c r="B34" s="52" t="s">
        <v>35</v>
      </c>
      <c r="C34" s="51"/>
      <c r="D34" s="51">
        <v>0.04</v>
      </c>
      <c r="E34" s="51">
        <v>0.04</v>
      </c>
      <c r="F34" s="51">
        <v>0.04</v>
      </c>
      <c r="G34" s="53">
        <v>0.04</v>
      </c>
      <c r="H34" s="30">
        <v>3.5000000000000003E-2</v>
      </c>
      <c r="I34" s="30">
        <v>0.03</v>
      </c>
      <c r="J34" s="30">
        <v>2.5000000000000001E-2</v>
      </c>
      <c r="K34" s="30">
        <v>0.02</v>
      </c>
      <c r="L34" s="30">
        <v>0.02</v>
      </c>
      <c r="M34" s="30">
        <v>0.02</v>
      </c>
      <c r="N34" s="30">
        <v>0.02</v>
      </c>
      <c r="O34" s="30">
        <v>0.02</v>
      </c>
      <c r="P34" s="30">
        <v>0.02</v>
      </c>
      <c r="Q34" s="30">
        <v>0.02</v>
      </c>
      <c r="R34" s="30">
        <v>0.02</v>
      </c>
      <c r="S34" s="30">
        <v>0.02</v>
      </c>
      <c r="T34" s="30">
        <v>0.02</v>
      </c>
    </row>
    <row r="35" spans="2:20" ht="15.4" hidden="1" x14ac:dyDescent="0.45">
      <c r="B35" s="52" t="s">
        <v>36</v>
      </c>
      <c r="C35" s="51"/>
      <c r="D35" s="51">
        <v>0.04</v>
      </c>
      <c r="E35" s="51">
        <v>0.04</v>
      </c>
      <c r="F35" s="51">
        <v>0.04</v>
      </c>
      <c r="G35" s="53">
        <v>0.04</v>
      </c>
      <c r="H35" s="30">
        <v>3.5000000000000003E-2</v>
      </c>
      <c r="I35" s="30">
        <v>0.03</v>
      </c>
      <c r="J35" s="30">
        <v>2.5000000000000001E-2</v>
      </c>
      <c r="K35" s="30">
        <v>0.02</v>
      </c>
      <c r="L35" s="30">
        <v>0.02</v>
      </c>
      <c r="M35" s="30">
        <v>0.02</v>
      </c>
      <c r="N35" s="30">
        <v>0.02</v>
      </c>
      <c r="O35" s="30">
        <v>0.02</v>
      </c>
      <c r="P35" s="30">
        <v>0.02</v>
      </c>
      <c r="Q35" s="30">
        <v>0.02</v>
      </c>
      <c r="R35" s="30">
        <v>0.02</v>
      </c>
      <c r="S35" s="30">
        <v>0.02</v>
      </c>
      <c r="T35" s="30">
        <v>0.02</v>
      </c>
    </row>
    <row r="36" spans="2:20" ht="15.4" hidden="1" x14ac:dyDescent="0.45">
      <c r="B36" s="52" t="s">
        <v>21</v>
      </c>
      <c r="C36" s="51"/>
      <c r="D36" s="51">
        <v>10036</v>
      </c>
      <c r="E36" s="51">
        <v>10036</v>
      </c>
      <c r="F36" s="51">
        <v>10036</v>
      </c>
      <c r="G36" s="53">
        <v>10036</v>
      </c>
      <c r="H36" s="30">
        <v>12012</v>
      </c>
      <c r="I36" s="30">
        <v>12012</v>
      </c>
      <c r="J36" s="30">
        <v>12012</v>
      </c>
      <c r="K36" s="30">
        <v>12012</v>
      </c>
      <c r="L36" s="30">
        <v>12012</v>
      </c>
      <c r="M36" s="30">
        <v>12012</v>
      </c>
      <c r="N36" s="30">
        <v>12012</v>
      </c>
      <c r="O36" s="30">
        <v>12012</v>
      </c>
      <c r="P36" s="30">
        <v>12012</v>
      </c>
      <c r="Q36" s="30">
        <v>12012</v>
      </c>
      <c r="R36" s="30">
        <v>12012</v>
      </c>
      <c r="S36" s="30">
        <v>12012</v>
      </c>
      <c r="T36" s="30">
        <v>12012</v>
      </c>
    </row>
    <row r="37" spans="2:20" ht="15.4" hidden="1" x14ac:dyDescent="0.45">
      <c r="B37" s="52" t="s">
        <v>22</v>
      </c>
      <c r="C37" s="51"/>
      <c r="D37" s="51">
        <v>5980</v>
      </c>
      <c r="E37" s="51">
        <v>5980</v>
      </c>
      <c r="F37" s="51">
        <v>5980</v>
      </c>
      <c r="G37" s="53">
        <v>5980</v>
      </c>
      <c r="H37" s="30">
        <v>5564</v>
      </c>
      <c r="I37" s="30">
        <v>6656</v>
      </c>
      <c r="J37" s="30">
        <v>6760</v>
      </c>
      <c r="K37" s="30">
        <v>7360</v>
      </c>
      <c r="L37" s="30">
        <v>7862</v>
      </c>
      <c r="M37" s="30">
        <v>7862</v>
      </c>
      <c r="N37" s="30">
        <v>8472</v>
      </c>
      <c r="O37" s="30">
        <v>8675</v>
      </c>
      <c r="P37" s="30">
        <v>9283</v>
      </c>
      <c r="Q37" s="30">
        <v>10908</v>
      </c>
      <c r="R37" s="30">
        <v>13748</v>
      </c>
      <c r="S37" s="30">
        <v>15370</v>
      </c>
      <c r="T37" s="30">
        <v>16688</v>
      </c>
    </row>
    <row r="38" spans="2:20" ht="15.4" hidden="1" x14ac:dyDescent="0.45">
      <c r="B38" s="52" t="s">
        <v>23</v>
      </c>
      <c r="C38" s="51"/>
      <c r="D38" s="51">
        <f t="shared" ref="D38:E40" si="0">10^10</f>
        <v>10000000000</v>
      </c>
      <c r="E38" s="51">
        <f t="shared" si="0"/>
        <v>10000000000</v>
      </c>
      <c r="F38" s="51">
        <f t="shared" ref="F38:T40" si="1">10^10</f>
        <v>10000000000</v>
      </c>
      <c r="G38" s="53">
        <f t="shared" si="1"/>
        <v>10000000000</v>
      </c>
      <c r="H38" s="30">
        <v>52467</v>
      </c>
      <c r="I38" s="30">
        <v>51376</v>
      </c>
      <c r="J38" s="30">
        <v>51272</v>
      </c>
      <c r="K38" s="30">
        <v>50672</v>
      </c>
      <c r="L38" s="30">
        <v>50170</v>
      </c>
      <c r="M38" s="30">
        <v>50170</v>
      </c>
      <c r="N38" s="30">
        <v>49560</v>
      </c>
      <c r="O38" s="30">
        <v>49357</v>
      </c>
      <c r="P38" s="30">
        <v>48749</v>
      </c>
      <c r="Q38" s="30">
        <v>47124</v>
      </c>
      <c r="R38" s="30">
        <v>44284</v>
      </c>
      <c r="S38" s="30">
        <v>42662</v>
      </c>
      <c r="T38" s="30">
        <v>41344</v>
      </c>
    </row>
    <row r="39" spans="2:20" ht="15.4" hidden="1" x14ac:dyDescent="0.45">
      <c r="B39" s="52" t="s">
        <v>24</v>
      </c>
      <c r="C39" s="51"/>
      <c r="D39" s="51">
        <f t="shared" si="0"/>
        <v>10000000000</v>
      </c>
      <c r="E39" s="51">
        <f t="shared" si="0"/>
        <v>10000000000</v>
      </c>
      <c r="F39" s="51">
        <f t="shared" si="1"/>
        <v>10000000000</v>
      </c>
      <c r="G39" s="53">
        <f t="shared" si="1"/>
        <v>10000000000</v>
      </c>
      <c r="H39" s="30">
        <f t="shared" si="1"/>
        <v>10000000000</v>
      </c>
      <c r="I39" s="30">
        <f t="shared" si="1"/>
        <v>10000000000</v>
      </c>
      <c r="J39" s="30">
        <f t="shared" si="1"/>
        <v>10000000000</v>
      </c>
      <c r="K39" s="30">
        <f t="shared" si="1"/>
        <v>10000000000</v>
      </c>
      <c r="L39" s="30">
        <f t="shared" si="1"/>
        <v>10000000000</v>
      </c>
      <c r="M39" s="30">
        <f t="shared" si="1"/>
        <v>10000000000</v>
      </c>
      <c r="N39" s="30">
        <f t="shared" si="1"/>
        <v>10000000000</v>
      </c>
      <c r="O39" s="30">
        <f t="shared" si="1"/>
        <v>10000000000</v>
      </c>
      <c r="P39" s="30">
        <f t="shared" si="1"/>
        <v>10000000000</v>
      </c>
      <c r="Q39" s="30">
        <f t="shared" si="1"/>
        <v>10000000000</v>
      </c>
      <c r="R39" s="30">
        <f t="shared" si="1"/>
        <v>10000000000</v>
      </c>
      <c r="S39" s="30">
        <f t="shared" si="1"/>
        <v>10000000000</v>
      </c>
      <c r="T39" s="30">
        <f t="shared" si="1"/>
        <v>10000000000</v>
      </c>
    </row>
    <row r="40" spans="2:20" ht="15.4" hidden="1" x14ac:dyDescent="0.45">
      <c r="B40" s="52"/>
      <c r="C40" s="51"/>
      <c r="D40" s="51">
        <f t="shared" si="0"/>
        <v>10000000000</v>
      </c>
      <c r="E40" s="51">
        <f t="shared" si="0"/>
        <v>10000000000</v>
      </c>
      <c r="F40" s="51">
        <f t="shared" si="1"/>
        <v>10000000000</v>
      </c>
      <c r="G40" s="53">
        <f t="shared" si="1"/>
        <v>10000000000</v>
      </c>
      <c r="H40" s="30">
        <f t="shared" si="1"/>
        <v>10000000000</v>
      </c>
      <c r="I40" s="30">
        <f t="shared" si="1"/>
        <v>10000000000</v>
      </c>
      <c r="J40" s="30">
        <f t="shared" si="1"/>
        <v>10000000000</v>
      </c>
      <c r="K40" s="30">
        <f t="shared" si="1"/>
        <v>10000000000</v>
      </c>
      <c r="L40" s="30">
        <f t="shared" si="1"/>
        <v>10000000000</v>
      </c>
      <c r="M40" s="30">
        <f t="shared" si="1"/>
        <v>10000000000</v>
      </c>
      <c r="N40" s="30">
        <f t="shared" si="1"/>
        <v>10000000000</v>
      </c>
      <c r="O40" s="30">
        <f t="shared" si="1"/>
        <v>10000000000</v>
      </c>
      <c r="P40" s="30">
        <f t="shared" si="1"/>
        <v>10000000000</v>
      </c>
      <c r="Q40" s="30">
        <f t="shared" si="1"/>
        <v>10000000000</v>
      </c>
      <c r="R40" s="30">
        <f t="shared" si="1"/>
        <v>10000000000</v>
      </c>
      <c r="S40" s="30">
        <f t="shared" si="1"/>
        <v>10000000000</v>
      </c>
      <c r="T40" s="30">
        <f t="shared" si="1"/>
        <v>10000000000</v>
      </c>
    </row>
    <row r="41" spans="2:20" ht="15.4" hidden="1" x14ac:dyDescent="0.45">
      <c r="B41" s="52" t="s">
        <v>25</v>
      </c>
      <c r="C41" s="51"/>
      <c r="D41" s="54">
        <v>0.03</v>
      </c>
      <c r="E41" s="54">
        <v>0.03</v>
      </c>
      <c r="F41" s="54">
        <v>0.03</v>
      </c>
      <c r="G41" s="55">
        <v>0.03</v>
      </c>
      <c r="H41" s="31">
        <v>0.03</v>
      </c>
      <c r="I41" s="31">
        <v>0.03</v>
      </c>
      <c r="J41" s="31">
        <v>0.03</v>
      </c>
      <c r="K41" s="31">
        <v>0.03</v>
      </c>
      <c r="L41" s="31">
        <v>0.03</v>
      </c>
      <c r="M41" s="31">
        <v>0.03</v>
      </c>
      <c r="N41" s="31">
        <v>0.03</v>
      </c>
      <c r="O41" s="31">
        <v>0.03</v>
      </c>
      <c r="P41" s="31">
        <v>0.03</v>
      </c>
      <c r="Q41" s="31">
        <v>0.03</v>
      </c>
      <c r="R41" s="31">
        <v>0.03</v>
      </c>
      <c r="S41" s="31">
        <v>0.03</v>
      </c>
      <c r="T41" s="31">
        <v>0.03</v>
      </c>
    </row>
    <row r="42" spans="2:20" ht="15.4" hidden="1" x14ac:dyDescent="0.45">
      <c r="B42" s="52" t="s">
        <v>26</v>
      </c>
      <c r="C42" s="51"/>
      <c r="D42" s="51">
        <v>100000</v>
      </c>
      <c r="E42" s="51">
        <v>100000</v>
      </c>
      <c r="F42" s="51">
        <v>100000</v>
      </c>
      <c r="G42" s="53">
        <v>100000</v>
      </c>
      <c r="H42" s="30">
        <v>100000</v>
      </c>
      <c r="I42" s="30">
        <v>100000</v>
      </c>
      <c r="J42" s="30">
        <v>100000</v>
      </c>
      <c r="K42" s="30">
        <v>100000</v>
      </c>
      <c r="L42" s="30">
        <v>100000</v>
      </c>
      <c r="M42" s="30">
        <v>100000</v>
      </c>
      <c r="N42" s="30">
        <v>100000</v>
      </c>
      <c r="O42" s="30">
        <v>100000</v>
      </c>
      <c r="P42" s="30">
        <v>100000</v>
      </c>
      <c r="Q42" s="30">
        <v>100000</v>
      </c>
      <c r="R42" s="30">
        <v>100000</v>
      </c>
      <c r="S42" s="30">
        <v>100000</v>
      </c>
      <c r="T42" s="30">
        <v>100000</v>
      </c>
    </row>
    <row r="43" spans="2:20" ht="15.4" hidden="1" x14ac:dyDescent="0.45">
      <c r="B43" s="52" t="s">
        <v>39</v>
      </c>
      <c r="C43" s="51"/>
      <c r="D43" s="56" t="s">
        <v>40</v>
      </c>
      <c r="E43" s="51">
        <v>60000</v>
      </c>
      <c r="F43" s="51">
        <v>60000</v>
      </c>
      <c r="G43" s="53">
        <v>60000</v>
      </c>
      <c r="H43" s="30">
        <v>60000</v>
      </c>
      <c r="I43" s="30">
        <v>60000</v>
      </c>
      <c r="J43" s="30">
        <v>60000</v>
      </c>
      <c r="K43" s="30">
        <v>60000</v>
      </c>
      <c r="L43" s="30">
        <v>60000</v>
      </c>
      <c r="M43" s="30">
        <v>60000</v>
      </c>
      <c r="N43" s="30">
        <v>60000</v>
      </c>
      <c r="O43" s="30">
        <v>60000</v>
      </c>
      <c r="P43" s="30">
        <v>60000</v>
      </c>
      <c r="Q43" s="30">
        <v>60000</v>
      </c>
      <c r="R43" s="30">
        <v>60000</v>
      </c>
      <c r="S43" s="30">
        <v>60000</v>
      </c>
      <c r="T43" s="30">
        <v>60000</v>
      </c>
    </row>
    <row r="44" spans="2:20" ht="15.4" hidden="1" x14ac:dyDescent="0.45">
      <c r="B44" s="52" t="s">
        <v>16</v>
      </c>
      <c r="C44" s="51"/>
      <c r="D44" s="51" t="b">
        <f>OR($C$8="No",$C$9="Yes")</f>
        <v>0</v>
      </c>
      <c r="E44" s="51" t="b">
        <f>OR($C$8="No",$C$9="Yes")</f>
        <v>0</v>
      </c>
      <c r="F44" s="51" t="b">
        <f t="shared" ref="F44:M44" si="2">OR(AND($C$9="Yes",$C$6*INDEX(outAnnually,MATCH($C$7,$D$61:$H$61,0))&lt;F43),AND($C$8="No",$C$6*INDEX(outAnnually,MATCH($C$7,$D$61:$H$61,0))&lt;F43))</f>
        <v>0</v>
      </c>
      <c r="G44" s="53" t="b">
        <f t="shared" si="2"/>
        <v>0</v>
      </c>
      <c r="H44" s="30" t="b">
        <f t="shared" si="2"/>
        <v>0</v>
      </c>
      <c r="I44" s="30" t="b">
        <f t="shared" si="2"/>
        <v>0</v>
      </c>
      <c r="J44" s="30" t="b">
        <f t="shared" si="2"/>
        <v>0</v>
      </c>
      <c r="K44" s="30" t="b">
        <f t="shared" si="2"/>
        <v>0</v>
      </c>
      <c r="L44" s="30" t="b">
        <f t="shared" si="2"/>
        <v>0</v>
      </c>
      <c r="M44" s="30" t="b">
        <f t="shared" si="2"/>
        <v>0</v>
      </c>
      <c r="N44" s="30" t="b">
        <f t="shared" ref="N44" si="3">OR(AND($C$9="Yes",$C$6*INDEX(outAnnually,MATCH($C$7,$D$61:$H$61,0))&lt;N43),AND($C$8="No",$C$6*INDEX(outAnnually,MATCH($C$7,$D$61:$H$61,0))&lt;N43))</f>
        <v>0</v>
      </c>
      <c r="O44" s="30" t="b">
        <f t="shared" ref="O44:P44" si="4">OR(AND($C$9="Yes",$C$6*INDEX(outAnnually,MATCH($C$7,$D$61:$H$61,0))&lt;O43),AND($C$8="No",$C$6*INDEX(outAnnually,MATCH($C$7,$D$61:$H$61,0))&lt;O43))</f>
        <v>0</v>
      </c>
      <c r="P44" s="30" t="b">
        <f t="shared" si="4"/>
        <v>0</v>
      </c>
      <c r="Q44" s="30" t="b">
        <f t="shared" ref="Q44:R44" si="5">OR(AND($C$9="Yes",$C$6*INDEX(outAnnually,MATCH($C$7,$D$61:$H$61,0))&lt;Q43),AND($C$8="No",$C$6*INDEX(outAnnually,MATCH($C$7,$D$61:$H$61,0))&lt;Q43))</f>
        <v>0</v>
      </c>
      <c r="R44" s="30" t="b">
        <f t="shared" si="5"/>
        <v>0</v>
      </c>
      <c r="S44" s="30" t="b">
        <f t="shared" ref="S44:T44" si="6">OR(AND($C$9="Yes",$C$6*INDEX(outAnnually,MATCH($C$7,$D$61:$H$61,0))&lt;S43),AND($C$8="No",$C$6*INDEX(outAnnually,MATCH($C$7,$D$61:$H$61,0))&lt;S43))</f>
        <v>0</v>
      </c>
      <c r="T44" s="30" t="b">
        <f t="shared" si="6"/>
        <v>0</v>
      </c>
    </row>
    <row r="45" spans="2:20" hidden="1" x14ac:dyDescent="0.45">
      <c r="B45" s="50"/>
      <c r="C45" s="51"/>
      <c r="D45" s="51"/>
      <c r="E45" s="51"/>
      <c r="F45" s="51"/>
      <c r="G45" s="53"/>
    </row>
    <row r="46" spans="2:20" hidden="1" x14ac:dyDescent="0.45">
      <c r="B46" s="50"/>
      <c r="C46" s="51"/>
      <c r="D46" s="51"/>
      <c r="E46" s="51"/>
      <c r="F46" s="51"/>
      <c r="G46" s="53"/>
    </row>
    <row r="47" spans="2:20" hidden="1" x14ac:dyDescent="0.45">
      <c r="B47" s="50"/>
      <c r="C47" s="51"/>
      <c r="D47" s="51"/>
      <c r="E47" s="51"/>
      <c r="F47" s="51"/>
      <c r="G47" s="53"/>
    </row>
    <row r="48" spans="2:20" hidden="1" x14ac:dyDescent="0.45">
      <c r="B48" s="50"/>
      <c r="C48" s="51"/>
      <c r="D48" s="51"/>
      <c r="E48" s="51"/>
      <c r="F48" s="51"/>
      <c r="G48" s="53"/>
    </row>
    <row r="49" spans="2:21" hidden="1" x14ac:dyDescent="0.45">
      <c r="B49" s="50"/>
      <c r="C49" s="51"/>
      <c r="D49" s="51"/>
      <c r="E49" s="51"/>
      <c r="F49" s="51"/>
      <c r="G49" s="53"/>
    </row>
    <row r="50" spans="2:21" hidden="1" x14ac:dyDescent="0.45">
      <c r="B50" s="50"/>
      <c r="C50" s="51"/>
      <c r="D50" s="51"/>
      <c r="E50" s="51"/>
      <c r="F50" s="51"/>
      <c r="G50" s="53"/>
    </row>
    <row r="51" spans="2:21" ht="14.65" hidden="1" thickBot="1" x14ac:dyDescent="0.5">
      <c r="B51" s="50"/>
      <c r="C51" s="51"/>
      <c r="D51" s="40">
        <v>52</v>
      </c>
      <c r="E51" s="40">
        <v>26</v>
      </c>
      <c r="F51" s="61">
        <v>13</v>
      </c>
      <c r="G51" s="68">
        <v>12</v>
      </c>
      <c r="H51" s="46">
        <v>1</v>
      </c>
      <c r="I51" s="33">
        <f ca="1">HLOOKUP(C4,LookupTable,ROW(A24)-ROW(A22)+1,FALSE)</f>
        <v>13000</v>
      </c>
      <c r="J51" s="32" t="s">
        <v>41</v>
      </c>
      <c r="N51" s="14" t="s">
        <v>19</v>
      </c>
      <c r="O51" s="14"/>
      <c r="P51" s="14"/>
      <c r="Q51" s="14"/>
    </row>
    <row r="52" spans="2:21" ht="14.65" hidden="1" thickTop="1" x14ac:dyDescent="0.45">
      <c r="B52" s="50"/>
      <c r="C52" s="51"/>
      <c r="D52" s="41" t="s">
        <v>0</v>
      </c>
      <c r="E52" s="41" t="s">
        <v>1</v>
      </c>
      <c r="F52" s="62" t="s">
        <v>2</v>
      </c>
      <c r="G52" s="69" t="s">
        <v>3</v>
      </c>
      <c r="H52" s="65" t="s">
        <v>4</v>
      </c>
      <c r="N52" s="15"/>
      <c r="O52" s="16">
        <v>52</v>
      </c>
      <c r="P52" s="16">
        <v>26</v>
      </c>
      <c r="Q52" s="16">
        <v>13</v>
      </c>
      <c r="R52" s="16">
        <v>12</v>
      </c>
      <c r="S52" s="16">
        <v>1</v>
      </c>
      <c r="T52" s="16"/>
      <c r="U52" s="17"/>
    </row>
    <row r="53" spans="2:21" hidden="1" x14ac:dyDescent="0.45">
      <c r="B53" s="50"/>
      <c r="C53" s="51">
        <f ca="1">IF(HLOOKUP(C$4,LookupTable,ROW(B44)-ROW(B22)+1,FALSE),HLOOKUP(C$4,LookupTable,ROW(B31)-ROW($B$22)+1,FALSE),HLOOKUP(C$4,LookupTable,ROWS($C$53:C53)+3,FALSE))</f>
        <v>5.0000000000000001E-3</v>
      </c>
      <c r="D53" s="42">
        <f ca="1">$H53/D$51</f>
        <v>231</v>
      </c>
      <c r="E53" s="42">
        <f t="shared" ref="E53:G57" ca="1" si="7">$H53/E$51</f>
        <v>462</v>
      </c>
      <c r="F53" s="63">
        <f t="shared" ca="1" si="7"/>
        <v>924</v>
      </c>
      <c r="G53" s="70">
        <f t="shared" ca="1" si="7"/>
        <v>1001</v>
      </c>
      <c r="H53" s="47">
        <f ca="1">HLOOKUP(C$4,LookupTable,ROW(A36)-ROW($A$22)+1,FALSE)</f>
        <v>12012</v>
      </c>
      <c r="I53" s="5">
        <f ca="1">MIN(HLOOKUP($C$7,$D$52:H53,2,FALSE),$C$6)*C53*(C6*INDEX(D51:H51,MATCH(C7,D52:H52,0))&gt;I51)</f>
        <v>0</v>
      </c>
      <c r="N53" s="18"/>
      <c r="O53" s="19" t="s">
        <v>0</v>
      </c>
      <c r="P53" s="19" t="s">
        <v>1</v>
      </c>
      <c r="Q53" s="19" t="s">
        <v>2</v>
      </c>
      <c r="R53" s="19" t="s">
        <v>3</v>
      </c>
      <c r="S53" s="14" t="s">
        <v>4</v>
      </c>
      <c r="T53" s="19"/>
      <c r="U53" s="20" t="s">
        <v>8</v>
      </c>
    </row>
    <row r="54" spans="2:21" hidden="1" x14ac:dyDescent="0.45">
      <c r="B54" s="50"/>
      <c r="C54" s="51">
        <f ca="1">IF(HLOOKUP(C$4,LookupTable,ROW(B45)-ROW(B23)+1,FALSE),HLOOKUP(C$4,LookupTable,ROW(B32)-ROW($B$22)+1,FALSE),HLOOKUP(C$4,LookupTable,ROWS($C$53:C54)+3,FALSE))</f>
        <v>0.02</v>
      </c>
      <c r="D54" s="42">
        <f t="shared" ref="D54:D57" ca="1" si="8">$H54/D$51</f>
        <v>320.92307692307691</v>
      </c>
      <c r="E54" s="42">
        <f t="shared" ca="1" si="7"/>
        <v>641.84615384615381</v>
      </c>
      <c r="F54" s="63">
        <f t="shared" ca="1" si="7"/>
        <v>1283.6923076923076</v>
      </c>
      <c r="G54" s="70">
        <f t="shared" ca="1" si="7"/>
        <v>1390.6666666666667</v>
      </c>
      <c r="H54" s="47">
        <f ca="1">HLOOKUP(C$4,LookupTable,ROW(A37)-ROW($A$22)+1,FALSE)</f>
        <v>16688</v>
      </c>
      <c r="I54" s="5">
        <f ca="1">MIN(HLOOKUP($C$7,$C$52:H54,ROWS($C$52:C54),FALSE),MAX($C$6-HLOOKUP($C$7,C52:H54,ROWS($C$52:C53),FALSE),0))*C54</f>
        <v>0</v>
      </c>
      <c r="N54" s="21">
        <f ca="1">MAX(INDIRECT(ADDRESS(25,MATCH(C4,D22:AZ22,0)+3)&amp;":"&amp;ADDRESS(28,MATCH(C4,D22:AZ22,0)+3)))</f>
        <v>0.08</v>
      </c>
      <c r="O54" s="19">
        <f ca="1">$S$54/O52</f>
        <v>231</v>
      </c>
      <c r="P54" s="19">
        <f ca="1">$S$54/P52</f>
        <v>462</v>
      </c>
      <c r="Q54" s="19">
        <f ca="1">$S$54/Q52</f>
        <v>924</v>
      </c>
      <c r="R54" s="19">
        <f ca="1">$S$54/R52</f>
        <v>1001</v>
      </c>
      <c r="S54" s="14">
        <f ca="1">H53</f>
        <v>12012</v>
      </c>
      <c r="T54" s="19"/>
      <c r="U54" s="22">
        <f ca="1">MEDIAN(0,HLOOKUP($C$7,$O$53:S54,ROWS($O$53:O54),FALSE),$C$6)*N54</f>
        <v>480.48</v>
      </c>
    </row>
    <row r="55" spans="2:21" hidden="1" x14ac:dyDescent="0.45">
      <c r="B55" s="50"/>
      <c r="C55" s="51">
        <f ca="1">IF(HLOOKUP(C$4,LookupTable,ROW(B46)-ROW(B24)+1,FALSE),HLOOKUP(C$4,LookupTable,ROW(B33)-ROW($B$22)+1,FALSE),HLOOKUP(C$4,LookupTable,ROWS($C$53:C55)+3,FALSE))</f>
        <v>0.03</v>
      </c>
      <c r="D55" s="42">
        <f t="shared" ca="1" si="8"/>
        <v>795.07692307692309</v>
      </c>
      <c r="E55" s="42">
        <f t="shared" ca="1" si="7"/>
        <v>1590.1538461538462</v>
      </c>
      <c r="F55" s="63">
        <f t="shared" ca="1" si="7"/>
        <v>3180.3076923076924</v>
      </c>
      <c r="G55" s="70">
        <f t="shared" ca="1" si="7"/>
        <v>3445.3333333333335</v>
      </c>
      <c r="H55" s="47">
        <f ca="1">HLOOKUP(C$4,LookupTable,ROW(A38)-ROW($A$22)+1,FALSE)</f>
        <v>41344</v>
      </c>
      <c r="I55" s="5">
        <f ca="1">MEDIAN(C6-SUM(HLOOKUP(C7,C52:H54,2,FALSE),HLOOKUP(C7,C52:H54,3,FALSE)),0,HLOOKUP(C7,C52:H55,4,FALSE))*C55</f>
        <v>0</v>
      </c>
      <c r="J55" s="1"/>
      <c r="N55" s="21">
        <f ca="1">MAX(INDIRECT(ADDRESS(25,MATCH(C4,D22:AZ22,0)+3)&amp;":"&amp;ADDRESS(28,MATCH(C4,D22:AZ22,0)+3)))</f>
        <v>0.08</v>
      </c>
      <c r="O55" s="19">
        <f ca="1">$S$55/O52</f>
        <v>320.92307692307691</v>
      </c>
      <c r="P55" s="19">
        <f ca="1">$S$55/P52</f>
        <v>641.84615384615381</v>
      </c>
      <c r="Q55" s="19">
        <f ca="1">$S$55/Q52</f>
        <v>1283.6923076923076</v>
      </c>
      <c r="R55" s="19">
        <f ca="1">$S$55/R52</f>
        <v>1390.6666666666667</v>
      </c>
      <c r="S55" s="14">
        <f ca="1">H54</f>
        <v>16688</v>
      </c>
      <c r="T55" s="19"/>
      <c r="U55" s="22">
        <f ca="1">MIN(HLOOKUP(C7,O53:S55,3,FALSE),MAX(C6-HLOOKUP(C7,O53:S55,2,FALSE),0))*N55</f>
        <v>0</v>
      </c>
    </row>
    <row r="56" spans="2:21" hidden="1" x14ac:dyDescent="0.45">
      <c r="B56" s="50"/>
      <c r="C56" s="51">
        <f ca="1">IF(HLOOKUP(C$4,LookupTable,ROW(B47)-ROW(B25)+1,FALSE),HLOOKUP(C$4,LookupTable,ROW(B34)-ROW($B$22)+1,FALSE),HLOOKUP(C$4,LookupTable,ROWS($C$53:C56)+3,FALSE))</f>
        <v>0.08</v>
      </c>
      <c r="D56" s="42">
        <f t="shared" ca="1" si="8"/>
        <v>192307692.30769232</v>
      </c>
      <c r="E56" s="42">
        <f t="shared" ca="1" si="7"/>
        <v>384615384.61538464</v>
      </c>
      <c r="F56" s="63">
        <f t="shared" ca="1" si="7"/>
        <v>769230769.23076928</v>
      </c>
      <c r="G56" s="70">
        <f t="shared" ca="1" si="7"/>
        <v>833333333.33333337</v>
      </c>
      <c r="H56" s="47">
        <f ca="1">HLOOKUP(C$4,LookupTable,ROW(A39)-ROW($A$22)+1,FALSE)</f>
        <v>10000000000</v>
      </c>
      <c r="I56" s="5">
        <f ca="1">MEDIAN(0,10^10,$C$6-SUM(HLOOKUP($C$7,C52:H55,2,FALSE),HLOOKUP($C$7,C52:H55,3,FALSE),HLOOKUP($C$7,C52:H55,4,FALSE)))*C56</f>
        <v>0</v>
      </c>
      <c r="N56" s="21">
        <f ca="1">MAX(INDIRECT(ADDRESS(25,MATCH(C4,D22:AZ22,0)+3)&amp;":"&amp;ADDRESS(28,MATCH(C4,D22:AZ22,0)+3)))</f>
        <v>0.08</v>
      </c>
      <c r="O56" s="19">
        <f ca="1">$S$56/O52</f>
        <v>795.07692307692309</v>
      </c>
      <c r="P56" s="19">
        <f ca="1">$S$56/P52</f>
        <v>1590.1538461538462</v>
      </c>
      <c r="Q56" s="19">
        <f ca="1">$S$56/Q52</f>
        <v>3180.3076923076924</v>
      </c>
      <c r="R56" s="19">
        <f ca="1">$S$56/R52</f>
        <v>3445.3333333333335</v>
      </c>
      <c r="S56" s="14">
        <f ca="1">H55</f>
        <v>41344</v>
      </c>
      <c r="T56" s="19"/>
      <c r="U56" s="23">
        <f ca="1">MEDIAN(0,10^10,IF(N57&gt;0,C6-SUM(HLOOKUP(C7,O53:S55,2,FALSE),HLOOKUP(C7,O53:S55,3,FALSE)),MAX(0,C6-SUM(HLOOKUP(C7,O53:S55,2,FALSE),HLOOKUP(C7,O53:S55,3,FALSE)))))*N56</f>
        <v>0</v>
      </c>
    </row>
    <row r="57" spans="2:21" hidden="1" x14ac:dyDescent="0.45">
      <c r="B57" s="50"/>
      <c r="C57" s="51">
        <f ca="1">HLOOKUP(C$4,LookupTable,ROW(B41)-ROW(B22)+1,FALSE)</f>
        <v>0.03</v>
      </c>
      <c r="D57" s="42">
        <f t="shared" ca="1" si="8"/>
        <v>1923.0769230769231</v>
      </c>
      <c r="E57" s="42">
        <f t="shared" ca="1" si="7"/>
        <v>3846.1538461538462</v>
      </c>
      <c r="F57" s="63">
        <f t="shared" ca="1" si="7"/>
        <v>7692.3076923076924</v>
      </c>
      <c r="G57" s="70">
        <f t="shared" ca="1" si="7"/>
        <v>8333.3333333333339</v>
      </c>
      <c r="H57" s="47">
        <f ca="1">HLOOKUP(C$4,LookupTable,ROW(A42)-ROW($A$22)+1,FALSE)</f>
        <v>100000</v>
      </c>
      <c r="I57" s="5">
        <f ca="1">MAX(0,($C$6-HLOOKUP($C$7,D52:H57,6,FALSE)))*C57*($C$5="I am self employed")</f>
        <v>0</v>
      </c>
      <c r="N57" s="21">
        <f ca="1">MAX(INDIRECT(ADDRESS(25,MATCH(C4,D22:AZ22,0)+3)&amp;":"&amp;ADDRESS(28,MATCH(C4,D22:AZ22,0)+3)))</f>
        <v>0.08</v>
      </c>
      <c r="O57" s="19">
        <f ca="1">$S$57/O52</f>
        <v>192307692.30769232</v>
      </c>
      <c r="P57" s="19">
        <f ca="1">$S$57/P52</f>
        <v>384615384.61538464</v>
      </c>
      <c r="Q57" s="19">
        <f ca="1">$S$57/Q52</f>
        <v>769230769.23076928</v>
      </c>
      <c r="R57" s="19">
        <f ca="1">$S$57/R52</f>
        <v>833333333.33333337</v>
      </c>
      <c r="S57" s="14">
        <f ca="1">H56</f>
        <v>10000000000</v>
      </c>
      <c r="T57" s="19"/>
      <c r="U57" s="23">
        <f ca="1">0*MEDIAN(0,10^10,C6-SUM(HLOOKUP(C7,O53:S56,2,FALSE),HLOOKUP(C7,O53:S56,3,FALSE),HLOOKUP(C7,O53:S56,4,FALSE)))*N57</f>
        <v>0</v>
      </c>
    </row>
    <row r="58" spans="2:21" ht="16.899999999999999" hidden="1" thickBot="1" x14ac:dyDescent="0.8">
      <c r="B58" s="50"/>
      <c r="C58" s="51"/>
      <c r="D58" s="51"/>
      <c r="E58" s="51"/>
      <c r="F58" s="51"/>
      <c r="G58" s="53"/>
      <c r="I58" s="34">
        <f ca="1">SUM(I53:I57)</f>
        <v>0</v>
      </c>
      <c r="N58" s="24"/>
      <c r="O58" s="25"/>
      <c r="P58" s="25"/>
      <c r="Q58" s="25"/>
      <c r="R58" s="25"/>
      <c r="S58" s="25"/>
      <c r="T58" s="25"/>
      <c r="U58" s="26">
        <f ca="1">SUM(U54:U57)</f>
        <v>480.48</v>
      </c>
    </row>
    <row r="59" spans="2:21" ht="14.65" hidden="1" thickTop="1" x14ac:dyDescent="0.45">
      <c r="B59" s="50"/>
      <c r="C59" s="51"/>
      <c r="D59" s="51"/>
      <c r="E59" s="51"/>
      <c r="F59" s="51"/>
      <c r="G59" s="53"/>
    </row>
    <row r="60" spans="2:21" hidden="1" x14ac:dyDescent="0.45">
      <c r="B60" s="50"/>
      <c r="C60" s="51"/>
      <c r="D60" s="51"/>
      <c r="E60" s="51"/>
      <c r="F60" s="51"/>
      <c r="G60" s="53"/>
    </row>
    <row r="61" spans="2:21" hidden="1" x14ac:dyDescent="0.45">
      <c r="B61" s="50"/>
      <c r="C61" s="43"/>
      <c r="D61" s="43" t="s">
        <v>0</v>
      </c>
      <c r="E61" s="43" t="s">
        <v>1</v>
      </c>
      <c r="F61" s="64" t="s">
        <v>2</v>
      </c>
      <c r="G61" s="71" t="s">
        <v>3</v>
      </c>
      <c r="H61" s="66" t="s">
        <v>4</v>
      </c>
    </row>
    <row r="62" spans="2:21" hidden="1" x14ac:dyDescent="0.45">
      <c r="B62" s="50"/>
      <c r="C62" s="43" t="s">
        <v>0</v>
      </c>
      <c r="D62" s="43">
        <v>1</v>
      </c>
      <c r="E62" s="43">
        <v>2</v>
      </c>
      <c r="F62" s="64">
        <v>4</v>
      </c>
      <c r="G62" s="71">
        <f>52/12</f>
        <v>4.333333333333333</v>
      </c>
      <c r="H62" s="47">
        <v>52</v>
      </c>
    </row>
    <row r="63" spans="2:21" hidden="1" x14ac:dyDescent="0.45">
      <c r="B63" s="50"/>
      <c r="C63" s="43" t="s">
        <v>1</v>
      </c>
      <c r="D63" s="43">
        <v>0.5</v>
      </c>
      <c r="E63" s="43">
        <v>1</v>
      </c>
      <c r="F63" s="64">
        <v>2</v>
      </c>
      <c r="G63" s="71">
        <f>26/12</f>
        <v>2.1666666666666665</v>
      </c>
      <c r="H63" s="47">
        <v>26</v>
      </c>
    </row>
    <row r="64" spans="2:21" hidden="1" x14ac:dyDescent="0.45">
      <c r="B64" s="50"/>
      <c r="C64" s="43" t="s">
        <v>2</v>
      </c>
      <c r="D64" s="43">
        <f>13/52</f>
        <v>0.25</v>
      </c>
      <c r="E64" s="43">
        <f>13/26</f>
        <v>0.5</v>
      </c>
      <c r="F64" s="64">
        <v>1</v>
      </c>
      <c r="G64" s="71">
        <f>13/12</f>
        <v>1.0833333333333333</v>
      </c>
      <c r="H64" s="47">
        <v>13</v>
      </c>
    </row>
    <row r="65" spans="2:8" hidden="1" x14ac:dyDescent="0.45">
      <c r="B65" s="50"/>
      <c r="C65" s="43" t="s">
        <v>3</v>
      </c>
      <c r="D65" s="43">
        <f>12/52</f>
        <v>0.23076923076923078</v>
      </c>
      <c r="E65" s="43">
        <f>12/26</f>
        <v>0.46153846153846156</v>
      </c>
      <c r="F65" s="64">
        <f>12/13</f>
        <v>0.92307692307692313</v>
      </c>
      <c r="G65" s="71">
        <v>1</v>
      </c>
      <c r="H65" s="47">
        <v>12</v>
      </c>
    </row>
    <row r="66" spans="2:8" hidden="1" x14ac:dyDescent="0.45">
      <c r="B66" s="50"/>
      <c r="C66" s="44" t="s">
        <v>4</v>
      </c>
      <c r="D66" s="43">
        <f>1/52</f>
        <v>1.9230769230769232E-2</v>
      </c>
      <c r="E66" s="43">
        <f>1/26</f>
        <v>3.8461538461538464E-2</v>
      </c>
      <c r="F66" s="64">
        <f>1/13</f>
        <v>7.6923076923076927E-2</v>
      </c>
      <c r="G66" s="71">
        <f>1/12</f>
        <v>8.3333333333333329E-2</v>
      </c>
      <c r="H66" s="47">
        <v>1</v>
      </c>
    </row>
    <row r="67" spans="2:8" ht="21" x14ac:dyDescent="0.65">
      <c r="B67" s="58" t="s">
        <v>50</v>
      </c>
      <c r="C67" s="48"/>
      <c r="D67" s="48"/>
      <c r="E67" s="48"/>
      <c r="F67" s="48"/>
      <c r="G67" s="49"/>
    </row>
    <row r="68" spans="2:8" x14ac:dyDescent="0.45">
      <c r="B68" s="50"/>
      <c r="C68" s="51"/>
      <c r="D68" s="51"/>
      <c r="E68" s="51"/>
      <c r="F68" s="51"/>
      <c r="G68" s="53"/>
    </row>
    <row r="69" spans="2:8" ht="15.75" x14ac:dyDescent="0.5">
      <c r="B69" s="80" t="s">
        <v>53</v>
      </c>
      <c r="C69" s="51"/>
      <c r="D69" s="51"/>
      <c r="E69" s="51"/>
      <c r="F69" s="51"/>
      <c r="G69" s="53"/>
    </row>
    <row r="70" spans="2:8" x14ac:dyDescent="0.45">
      <c r="B70" s="74" t="s">
        <v>51</v>
      </c>
      <c r="C70" s="51"/>
      <c r="D70" s="51"/>
      <c r="E70" s="51"/>
      <c r="F70" s="51"/>
      <c r="G70" s="53"/>
    </row>
    <row r="71" spans="2:8" x14ac:dyDescent="0.45">
      <c r="B71" s="50" t="s">
        <v>47</v>
      </c>
      <c r="C71" s="51"/>
      <c r="D71" s="51"/>
      <c r="E71" s="51"/>
      <c r="F71" s="51"/>
      <c r="G71" s="81" t="s">
        <v>45</v>
      </c>
    </row>
    <row r="72" spans="2:8" x14ac:dyDescent="0.45">
      <c r="B72" s="50"/>
      <c r="C72" s="51"/>
      <c r="D72" s="51"/>
      <c r="E72" s="51"/>
      <c r="F72" s="51"/>
      <c r="G72" s="73"/>
    </row>
    <row r="73" spans="2:8" x14ac:dyDescent="0.45">
      <c r="B73" s="76" t="s">
        <v>52</v>
      </c>
      <c r="C73" s="77"/>
      <c r="D73" s="77"/>
      <c r="E73" s="77"/>
      <c r="F73" s="77"/>
      <c r="G73" s="78" t="s">
        <v>49</v>
      </c>
    </row>
    <row r="74" spans="2:8" x14ac:dyDescent="0.45">
      <c r="B74" s="50"/>
      <c r="C74" s="51"/>
      <c r="D74" s="51"/>
      <c r="E74" s="51"/>
      <c r="F74" s="51"/>
      <c r="G74" s="53"/>
    </row>
    <row r="75" spans="2:8" ht="15.75" x14ac:dyDescent="0.5">
      <c r="B75" s="79" t="s">
        <v>46</v>
      </c>
      <c r="C75" s="51"/>
      <c r="D75" s="51"/>
      <c r="E75" s="51"/>
      <c r="F75" s="51"/>
      <c r="G75" s="53"/>
    </row>
    <row r="76" spans="2:8" x14ac:dyDescent="0.45">
      <c r="B76" s="75" t="s">
        <v>48</v>
      </c>
      <c r="C76" s="57"/>
      <c r="D76" s="57"/>
      <c r="E76" s="57"/>
      <c r="F76" s="57"/>
      <c r="G76" s="72" t="s">
        <v>45</v>
      </c>
    </row>
    <row r="78" spans="2:8" x14ac:dyDescent="0.45">
      <c r="G78" s="59"/>
    </row>
    <row r="79" spans="2:8" x14ac:dyDescent="0.45">
      <c r="G79" s="59"/>
    </row>
  </sheetData>
  <phoneticPr fontId="6" type="noConversion"/>
  <conditionalFormatting sqref="B12:C17">
    <cfRule type="expression" dxfId="3" priority="5" stopIfTrue="1">
      <formula>(OR($C$10=0,ISERROR($C$10)))</formula>
    </cfRule>
  </conditionalFormatting>
  <conditionalFormatting sqref="D10">
    <cfRule type="expression" dxfId="2" priority="10" stopIfTrue="1">
      <formula>AND($C$6&gt;0,OR(C6*INDEX(#REF!,MATCH(C7,#REF!,0))&lt;4004,ISERROR(#REF!)))</formula>
    </cfRule>
  </conditionalFormatting>
  <conditionalFormatting sqref="D12">
    <cfRule type="expression" dxfId="1" priority="2" stopIfTrue="1">
      <formula>AND($C$5="I am an employee",$C$6&gt;0,ISNUMBER($C$10))</formula>
    </cfRule>
  </conditionalFormatting>
  <conditionalFormatting sqref="D13:D17">
    <cfRule type="expression" dxfId="0" priority="3" stopIfTrue="1">
      <formula>AND($C$5="I am an employee",$C$6&gt;0,ISNUMBER($C$10))</formula>
    </cfRule>
  </conditionalFormatting>
  <dataValidations count="5">
    <dataValidation type="list" allowBlank="1" showInputMessage="1" showErrorMessage="1" sqref="C7" xr:uid="{00000000-0002-0000-0000-000000000000}">
      <formula1>"Weekly,Fortnightly,4-weekly,Monthly,Annually"</formula1>
    </dataValidation>
    <dataValidation type="list" allowBlank="1" showInputMessage="1" showErrorMessage="1" sqref="C8:C9" xr:uid="{00000000-0002-0000-0000-000001000000}">
      <formula1>"Yes,No"</formula1>
    </dataValidation>
    <dataValidation type="list" allowBlank="1" showInputMessage="1" showErrorMessage="1" sqref="C5" xr:uid="{00000000-0002-0000-0000-000002000000}">
      <formula1>"I am an employee,I am self employed"</formula1>
    </dataValidation>
    <dataValidation type="list" allowBlank="1" showInputMessage="1" showErrorMessage="1" sqref="C4" xr:uid="{00000000-0002-0000-0000-000003000000}">
      <formula1>YearsAvailable</formula1>
    </dataValidation>
    <dataValidation type="decimal" allowBlank="1" showInputMessage="1" showErrorMessage="1" sqref="C6" xr:uid="{00000000-0002-0000-0000-000004000000}">
      <formula1>0</formula1>
      <formula2>9999999999</formula2>
    </dataValidation>
  </dataValidations>
  <hyperlinks>
    <hyperlink ref="G76" r:id="rId1" xr:uid="{B8DBA655-AAB7-40E4-B78A-F1E5EEE9EF28}"/>
    <hyperlink ref="G71" r:id="rId2" xr:uid="{4430C27B-51F7-46D4-9193-06C4589B5166}"/>
    <hyperlink ref="G73" r:id="rId3" display="How to unblock" xr:uid="{E001AF90-08DC-4115-838F-B044AE5B37A5}"/>
  </hyperlinks>
  <pageMargins left="0.7" right="0.7" top="0.75" bottom="0.75" header="0.3" footer="0.3"/>
  <pageSetup orientation="portrait" r:id="rId4"/>
  <cellWatches>
    <cellWatch r="I58"/>
  </cellWatch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 Hayden</cp:lastModifiedBy>
  <dcterms:created xsi:type="dcterms:W3CDTF">2011-01-30T19:21:54Z</dcterms:created>
  <dcterms:modified xsi:type="dcterms:W3CDTF">2025-10-07T16:39:39Z</dcterms:modified>
</cp:coreProperties>
</file>